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8" yWindow="1380" windowWidth="1980" windowHeight="11760" activeTab="0"/>
  </bookViews>
  <sheets>
    <sheet name="SS Emissions Nat Gas" sheetId="1" r:id="rId1"/>
  </sheets>
  <definedNames>
    <definedName name="_xlnm.Print_Area" localSheetId="0">'SS Emissions Nat Gas'!$A$1:$J$59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<sst xmlns="http://schemas.openxmlformats.org/spreadsheetml/2006/main" count="113" uniqueCount="74">
  <si>
    <t>Trade names used without permission from respective companies</t>
  </si>
  <si>
    <t>Foxboro Model 43AP</t>
  </si>
  <si>
    <t>Fairchild Model T5221</t>
  </si>
  <si>
    <t>M/P Transducer</t>
  </si>
  <si>
    <t>Fairchild Model T5400</t>
  </si>
  <si>
    <t>Fairchild Model T5700</t>
  </si>
  <si>
    <t>Fisher Model 646</t>
  </si>
  <si>
    <t>Fisher Model 3710</t>
  </si>
  <si>
    <t>Fisher Model DT4000</t>
  </si>
  <si>
    <t>Fisher Model 3610JP</t>
  </si>
  <si>
    <t>Fisher Model 3720</t>
  </si>
  <si>
    <t>Moore Model 760E</t>
  </si>
  <si>
    <t>ABB/Moore AV1</t>
  </si>
  <si>
    <t>Bristol Babcock Model 9110</t>
  </si>
  <si>
    <t>Cv</t>
  </si>
  <si>
    <t>Fisher Model 4160K @ 20 psig</t>
  </si>
  <si>
    <t xml:space="preserve">Fisher DVC5000 </t>
  </si>
  <si>
    <t>Fisher Model 4100Z</t>
  </si>
  <si>
    <t xml:space="preserve">Fisher Model 4195K </t>
  </si>
  <si>
    <t>Fairchild Model T7800</t>
  </si>
  <si>
    <t>Fisher Model 546</t>
  </si>
  <si>
    <t xml:space="preserve">Fisher Model 3660 </t>
  </si>
  <si>
    <t>Foxboro SRP981 S.A.</t>
  </si>
  <si>
    <t xml:space="preserve">Foxboro SRP981 D.A. </t>
  </si>
  <si>
    <t>Foxboro SRI990 S.A.</t>
  </si>
  <si>
    <t>Foxboro SRI990 D.A.</t>
  </si>
  <si>
    <t>Foxboro SRD960 S.A.</t>
  </si>
  <si>
    <t xml:space="preserve">Foxboro SRD960 D.A. </t>
  </si>
  <si>
    <t xml:space="preserve">PMV </t>
  </si>
  <si>
    <t xml:space="preserve">Fisher Model 3661 </t>
  </si>
  <si>
    <t xml:space="preserve">Fisher Model 3582 </t>
  </si>
  <si>
    <t>Fisher Model 3590</t>
  </si>
  <si>
    <t>Fisher Model 3582i</t>
  </si>
  <si>
    <t xml:space="preserve">Fisher 2500 </t>
  </si>
  <si>
    <t>Fisher Model 4150K @ 15 psig</t>
  </si>
  <si>
    <t>Fisher Model 4150K @ 30 psig</t>
  </si>
  <si>
    <t>Fisher Model 4160K @ 15 psig</t>
  </si>
  <si>
    <t>4150/4160 (3-15)</t>
  </si>
  <si>
    <t>4150/4160 (6-30)</t>
  </si>
  <si>
    <t>psig</t>
  </si>
  <si>
    <t>scfh</t>
  </si>
  <si>
    <t>cv</t>
  </si>
  <si>
    <t>Quantity</t>
  </si>
  <si>
    <t>Controller</t>
  </si>
  <si>
    <t>Bristol Model 624-II</t>
  </si>
  <si>
    <t>Electro-Positioner</t>
  </si>
  <si>
    <t>Fisher Model 3620JP</t>
  </si>
  <si>
    <t>Valtek Model Beta 2000</t>
  </si>
  <si>
    <t>I/P Transducer</t>
  </si>
  <si>
    <t>Fisher Model 846</t>
  </si>
  <si>
    <t>Positioner</t>
  </si>
  <si>
    <t>Fisher Model 3570</t>
  </si>
  <si>
    <t>Valtek Model Beta</t>
  </si>
  <si>
    <t>Moore Model 750P</t>
  </si>
  <si>
    <t>Notes:</t>
  </si>
  <si>
    <t>Most manufacturers state consumption rate of control instrumentation in standard cubic feet of air (scf Air)</t>
  </si>
  <si>
    <t>To convert to Natural Gas volume divide by SQRT 0.6 due to lower specific gravity of Natural Gas</t>
  </si>
  <si>
    <t>*Input values into GRAY cells*</t>
  </si>
  <si>
    <t>SCFH</t>
  </si>
  <si>
    <t>*Input values into GREY cells*</t>
  </si>
  <si>
    <t>Fisher Model C1</t>
  </si>
  <si>
    <t>Steady State Emissions NAT GAS</t>
  </si>
  <si>
    <t>Total Emissions NAT GAS</t>
  </si>
  <si>
    <t>TOTAL EMISSIONS - ANNUAL</t>
  </si>
  <si>
    <t>Steady State Emissions Calculator</t>
  </si>
  <si>
    <t>ver 071321</t>
  </si>
  <si>
    <t>Item Type</t>
  </si>
  <si>
    <t>Make / Model</t>
  </si>
  <si>
    <t>Supply Pressure</t>
  </si>
  <si>
    <t>PSIG</t>
  </si>
  <si>
    <t>MAOP</t>
  </si>
  <si>
    <t>Temperature</t>
  </si>
  <si>
    <t>F</t>
  </si>
  <si>
    <t>--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</si>
</sst>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"/>
    <numFmt numFmtId="166" formatCode="_(&quot;$&quot;* #,##0_);_(&quot;$&quot;* \(#,##0\);_(&quot;$&quot;* &quot;-&quot;??_);_(@_)"/>
    <numFmt numFmtId="167" formatCode="00000"/>
    <numFmt numFmtId="168" formatCode="0.0"/>
    <numFmt numFmtId="169" formatCode="_(&quot;$&quot;* #,##0.0_);_(&quot;$&quot;* \(#,##0.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7" fontId="3" fillId="0" borderId="0" xfId="44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44" fontId="4" fillId="0" borderId="0" xfId="44" applyFont="1" applyBorder="1" applyAlignment="1">
      <alignment horizontal="center"/>
    </xf>
    <xf numFmtId="44" fontId="4" fillId="0" borderId="0" xfId="44" applyFont="1" applyFill="1" applyBorder="1" applyAlignment="1">
      <alignment horizontal="center"/>
    </xf>
    <xf numFmtId="164" fontId="0" fillId="0" borderId="15" xfId="44" applyNumberFormat="1" applyFont="1" applyFill="1" applyBorder="1" applyAlignment="1">
      <alignment horizontal="center"/>
    </xf>
    <xf numFmtId="166" fontId="0" fillId="0" borderId="0" xfId="44" applyNumberFormat="1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164" fontId="0" fillId="0" borderId="0" xfId="44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0" borderId="18" xfId="44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6" fontId="0" fillId="0" borderId="0" xfId="44" applyNumberFormat="1" applyFont="1" applyAlignment="1">
      <alignment horizontal="center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 horizontal="center"/>
    </xf>
    <xf numFmtId="7" fontId="3" fillId="35" borderId="0" xfId="44" applyNumberFormat="1" applyFont="1" applyFill="1" applyBorder="1" applyAlignment="1">
      <alignment horizontal="left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6" borderId="15" xfId="0" applyFill="1" applyBorder="1" applyAlignment="1">
      <alignment horizontal="center"/>
    </xf>
    <xf numFmtId="2" fontId="0" fillId="36" borderId="15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1" fontId="44" fillId="0" borderId="0" xfId="42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7" fontId="3" fillId="0" borderId="0" xfId="44" applyNumberFormat="1" applyFont="1" applyFill="1" applyBorder="1" applyAlignment="1" applyProtection="1">
      <alignment horizontal="left"/>
      <protection locked="0"/>
    </xf>
    <xf numFmtId="0" fontId="4" fillId="37" borderId="19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 wrapText="1"/>
    </xf>
    <xf numFmtId="2" fontId="4" fillId="37" borderId="20" xfId="0" applyNumberFormat="1" applyFont="1" applyFill="1" applyBorder="1" applyAlignment="1">
      <alignment horizontal="center" wrapText="1"/>
    </xf>
    <xf numFmtId="0" fontId="4" fillId="0" borderId="11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190500</xdr:rowOff>
    </xdr:from>
    <xdr:to>
      <xdr:col>8</xdr:col>
      <xdr:colOff>790575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0"/>
          <a:ext cx="2200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0.28125" style="2" customWidth="1"/>
    <col min="2" max="2" width="32.00390625" style="2" bestFit="1" customWidth="1"/>
    <col min="3" max="3" width="10.28125" style="2" bestFit="1" customWidth="1"/>
    <col min="4" max="4" width="14.00390625" style="2" customWidth="1"/>
    <col min="5" max="5" width="11.140625" style="2" customWidth="1"/>
    <col min="6" max="6" width="15.421875" style="2" customWidth="1"/>
    <col min="7" max="7" width="18.28125" style="2" bestFit="1" customWidth="1"/>
    <col min="8" max="8" width="12.28125" style="2" customWidth="1"/>
    <col min="9" max="9" width="15.00390625" style="2" bestFit="1" customWidth="1"/>
    <col min="10" max="10" width="10.7109375" style="2" customWidth="1"/>
    <col min="11" max="16384" width="9.140625" style="2" customWidth="1"/>
  </cols>
  <sheetData>
    <row r="1" ht="42" customHeight="1">
      <c r="A1" s="49" t="s">
        <v>64</v>
      </c>
    </row>
    <row r="2" spans="1:6" ht="15">
      <c r="A2" s="54" t="s">
        <v>65</v>
      </c>
      <c r="B2" s="55"/>
      <c r="C2" s="1"/>
      <c r="D2" s="40"/>
      <c r="E2" s="41" t="s">
        <v>59</v>
      </c>
      <c r="F2" s="42"/>
    </row>
    <row r="3" ht="12" thickBot="1"/>
    <row r="4" spans="1:12" ht="45.75" customHeight="1">
      <c r="A4" s="56" t="s">
        <v>66</v>
      </c>
      <c r="B4" s="57" t="s">
        <v>67</v>
      </c>
      <c r="C4" s="57" t="s">
        <v>14</v>
      </c>
      <c r="D4" s="58" t="s">
        <v>68</v>
      </c>
      <c r="E4" s="58" t="s">
        <v>70</v>
      </c>
      <c r="F4" s="58" t="s">
        <v>71</v>
      </c>
      <c r="G4" s="59" t="s">
        <v>61</v>
      </c>
      <c r="H4" s="57" t="s">
        <v>42</v>
      </c>
      <c r="I4" s="58" t="s">
        <v>62</v>
      </c>
      <c r="K4" s="21"/>
      <c r="L4" s="21"/>
    </row>
    <row r="5" spans="1:12" ht="12" thickBot="1">
      <c r="A5" s="3"/>
      <c r="B5" s="4"/>
      <c r="C5" s="4"/>
      <c r="D5" s="4" t="s">
        <v>69</v>
      </c>
      <c r="E5" s="5" t="s">
        <v>69</v>
      </c>
      <c r="F5" s="4" t="s">
        <v>72</v>
      </c>
      <c r="G5" s="6" t="s">
        <v>58</v>
      </c>
      <c r="H5" s="60" t="s">
        <v>73</v>
      </c>
      <c r="I5" s="5" t="s">
        <v>58</v>
      </c>
      <c r="K5" s="29"/>
      <c r="L5" s="29"/>
    </row>
    <row r="6" spans="1:12" ht="12" thickTop="1">
      <c r="A6" s="7"/>
      <c r="B6" s="8"/>
      <c r="C6" s="8"/>
      <c r="D6" s="8"/>
      <c r="E6" s="9"/>
      <c r="F6" s="8"/>
      <c r="G6" s="10"/>
      <c r="H6" s="8"/>
      <c r="I6" s="9"/>
      <c r="J6" s="30"/>
      <c r="K6" s="29"/>
      <c r="L6" s="29"/>
    </row>
    <row r="7" spans="1:45" s="35" customFormat="1" ht="12">
      <c r="A7" s="11" t="s">
        <v>43</v>
      </c>
      <c r="B7" s="12" t="s">
        <v>44</v>
      </c>
      <c r="C7" s="31">
        <f>(AJ7)/((13.72)*(AH7+14.7)*(SQRT(520/(0.6*(AI7+460)))))</f>
        <v>0.00629655504063262</v>
      </c>
      <c r="D7" s="39">
        <v>35</v>
      </c>
      <c r="E7" s="12">
        <v>35</v>
      </c>
      <c r="F7" s="39">
        <v>60</v>
      </c>
      <c r="G7" s="13">
        <f>13.72*(C7)*(D7+14.7)*(SQRT(520/(0.6*(F7+460))))</f>
        <v>5.542910662824207</v>
      </c>
      <c r="H7" s="39"/>
      <c r="I7" s="14">
        <f aca="true" t="shared" si="0" ref="I7:I17">+G7*H7</f>
        <v>0</v>
      </c>
      <c r="J7" s="27"/>
      <c r="K7" s="32"/>
      <c r="L7" s="3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2">
        <v>20</v>
      </c>
      <c r="AI7" s="33">
        <v>60</v>
      </c>
      <c r="AJ7" s="34">
        <v>3.87</v>
      </c>
      <c r="AK7" s="27"/>
      <c r="AL7" s="27"/>
      <c r="AM7" s="27"/>
      <c r="AN7" s="27"/>
      <c r="AO7" s="27"/>
      <c r="AP7" s="27"/>
      <c r="AQ7" s="27"/>
      <c r="AR7" s="27"/>
      <c r="AS7" s="27"/>
    </row>
    <row r="8" spans="1:45" s="35" customFormat="1" ht="12">
      <c r="A8" s="11" t="s">
        <v>43</v>
      </c>
      <c r="B8" s="12" t="s">
        <v>17</v>
      </c>
      <c r="C8" s="31">
        <f>(AJ8)/((13.72)*(AH8+14.7)*(SQRT(520/(0.6*(AI8+460)))))</f>
        <v>0.07350861931157152</v>
      </c>
      <c r="D8" s="39">
        <v>20</v>
      </c>
      <c r="E8" s="12">
        <v>50</v>
      </c>
      <c r="F8" s="39">
        <v>60</v>
      </c>
      <c r="G8" s="13">
        <f>13.72*(C8)*(D8+14.7)*(SQRT(520/(0.6*(F8+460))))</f>
        <v>45.18</v>
      </c>
      <c r="H8" s="39"/>
      <c r="I8" s="14">
        <f t="shared" si="0"/>
        <v>0</v>
      </c>
      <c r="J8" s="27"/>
      <c r="K8" s="32"/>
      <c r="L8" s="3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2">
        <v>20</v>
      </c>
      <c r="AI8" s="33">
        <v>60</v>
      </c>
      <c r="AJ8" s="34">
        <v>45.18</v>
      </c>
      <c r="AK8" s="27"/>
      <c r="AL8" s="27"/>
      <c r="AM8" s="27"/>
      <c r="AN8" s="27"/>
      <c r="AO8" s="27"/>
      <c r="AP8" s="27"/>
      <c r="AQ8" s="27"/>
      <c r="AR8" s="27"/>
      <c r="AS8" s="27"/>
    </row>
    <row r="9" spans="1:45" s="35" customFormat="1" ht="12">
      <c r="A9" s="11" t="s">
        <v>43</v>
      </c>
      <c r="B9" s="48" t="s">
        <v>60</v>
      </c>
      <c r="C9" s="31">
        <f>(AJ9)/((13.72)*(AH9+14.7)*(SQRT(520/(0.6*(AI9+460)))))</f>
        <v>0.00511184455359955</v>
      </c>
      <c r="D9" s="39">
        <v>20</v>
      </c>
      <c r="E9" s="12">
        <v>40</v>
      </c>
      <c r="F9" s="39">
        <v>60</v>
      </c>
      <c r="G9" s="13">
        <f>13.72*(C9)*(D9+14.7)*(SQRT(520/(0.6*(F9+460))))</f>
        <v>3.1418511066398396</v>
      </c>
      <c r="H9" s="39"/>
      <c r="I9" s="14">
        <f>+G9*H9</f>
        <v>0</v>
      </c>
      <c r="J9" s="27"/>
      <c r="K9" s="32"/>
      <c r="L9" s="3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2">
        <v>35</v>
      </c>
      <c r="AI9" s="33">
        <v>60</v>
      </c>
      <c r="AJ9" s="34">
        <v>4.5</v>
      </c>
      <c r="AK9" s="27"/>
      <c r="AL9" s="27"/>
      <c r="AM9" s="27"/>
      <c r="AN9" s="27"/>
      <c r="AO9" s="27"/>
      <c r="AP9" s="27"/>
      <c r="AQ9" s="27"/>
      <c r="AR9" s="27"/>
      <c r="AS9" s="27"/>
    </row>
    <row r="10" spans="1:45" s="35" customFormat="1" ht="12">
      <c r="A10" s="11" t="s">
        <v>43</v>
      </c>
      <c r="B10" s="12" t="s">
        <v>34</v>
      </c>
      <c r="C10" s="31">
        <f>(AJ10)/((13.72)*(D10+14.7)*(SQRT(520/(0.6*(AI10+460)))))</f>
        <v>0.08343161403394662</v>
      </c>
      <c r="D10" s="39">
        <v>15</v>
      </c>
      <c r="E10" s="12">
        <v>40</v>
      </c>
      <c r="F10" s="39">
        <v>60</v>
      </c>
      <c r="G10" s="13">
        <f>0.0073*((D10)^3)-0.276*((D10)^2)+(4.9344*(D10))-2.5156</f>
        <v>34.0379</v>
      </c>
      <c r="H10" s="39"/>
      <c r="I10" s="14">
        <f t="shared" si="0"/>
        <v>0</v>
      </c>
      <c r="J10" s="27"/>
      <c r="K10" s="32"/>
      <c r="L10" s="3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2">
        <v>20</v>
      </c>
      <c r="AI10" s="33">
        <v>60</v>
      </c>
      <c r="AJ10" s="34">
        <v>43.89</v>
      </c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35" customFormat="1" ht="12">
      <c r="A11" s="11" t="s">
        <v>43</v>
      </c>
      <c r="B11" s="12" t="s">
        <v>35</v>
      </c>
      <c r="C11" s="31">
        <f>(AJ11)/((13.72)*(D11+14.7)*(SQRT(520/(0.6*(AI11+460)))))</f>
        <v>0.05543442811651487</v>
      </c>
      <c r="D11" s="39">
        <v>30</v>
      </c>
      <c r="E11" s="12">
        <v>40</v>
      </c>
      <c r="F11" s="39">
        <v>60</v>
      </c>
      <c r="G11" s="13">
        <f>0.0014*(D11)^3-0.0951*(D11)^2+2.8234*(D11)-3.8281</f>
        <v>33.08389999999999</v>
      </c>
      <c r="H11" s="39"/>
      <c r="I11" s="14">
        <f t="shared" si="0"/>
        <v>0</v>
      </c>
      <c r="J11" s="27"/>
      <c r="K11" s="32"/>
      <c r="L11" s="3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2">
        <v>35</v>
      </c>
      <c r="AI11" s="33">
        <v>60</v>
      </c>
      <c r="AJ11" s="34">
        <v>43.89</v>
      </c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35" customFormat="1" ht="12">
      <c r="A12" s="11" t="s">
        <v>43</v>
      </c>
      <c r="B12" s="12" t="s">
        <v>36</v>
      </c>
      <c r="C12" s="31">
        <f>(AJ12)/((13.72)*(D12+14.7)*(SQRT(520/(0.6*(AI12+460)))))</f>
        <v>0.08343161403394662</v>
      </c>
      <c r="D12" s="39">
        <v>15</v>
      </c>
      <c r="E12" s="12">
        <v>40</v>
      </c>
      <c r="F12" s="39">
        <v>60</v>
      </c>
      <c r="G12" s="13">
        <f>0.0073*((D12)^3)-0.276*((D12)^2)+(4.9344*(D12))-2.5156</f>
        <v>34.0379</v>
      </c>
      <c r="H12" s="39"/>
      <c r="I12" s="14">
        <f t="shared" si="0"/>
        <v>0</v>
      </c>
      <c r="J12" s="27"/>
      <c r="K12" s="32"/>
      <c r="L12" s="3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12">
        <v>20</v>
      </c>
      <c r="AI12" s="33">
        <v>60</v>
      </c>
      <c r="AJ12" s="34">
        <v>43.89</v>
      </c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35" customFormat="1" ht="12">
      <c r="A13" s="11" t="s">
        <v>43</v>
      </c>
      <c r="B13" s="12" t="s">
        <v>15</v>
      </c>
      <c r="C13" s="31">
        <f>(AJ13)/((13.72)*(D13+14.7)*(SQRT(520/(0.6*(AI13+460)))))</f>
        <v>0.04985752387944094</v>
      </c>
      <c r="D13" s="39">
        <v>35</v>
      </c>
      <c r="E13" s="12">
        <v>40</v>
      </c>
      <c r="F13" s="39">
        <v>60</v>
      </c>
      <c r="G13" s="13">
        <f>0.0014*(D13)^3-0.0951*(D13)^2+2.8234*(D13)-3.8281</f>
        <v>38.5184</v>
      </c>
      <c r="H13" s="39"/>
      <c r="I13" s="14">
        <f t="shared" si="0"/>
        <v>0</v>
      </c>
      <c r="J13" s="27"/>
      <c r="K13" s="32"/>
      <c r="L13" s="32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2">
        <v>35</v>
      </c>
      <c r="AI13" s="33">
        <v>60</v>
      </c>
      <c r="AJ13" s="34">
        <v>43.89</v>
      </c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35" customFormat="1" ht="12">
      <c r="A14" s="11" t="s">
        <v>43</v>
      </c>
      <c r="B14" s="12" t="s">
        <v>18</v>
      </c>
      <c r="C14" s="31">
        <f>(AJ14)/((13.72)*(AH14+14.7)*(SQRT(520/(0.6*(AI14+460)))))</f>
        <v>0.007354115964769882</v>
      </c>
      <c r="D14" s="39">
        <v>20</v>
      </c>
      <c r="E14" s="12">
        <v>40</v>
      </c>
      <c r="F14" s="39">
        <v>60</v>
      </c>
      <c r="G14" s="13">
        <f>13.72*(C14)*(D14+14.7)*(SQRT(520/(0.6*(F14+460))))</f>
        <v>4.52</v>
      </c>
      <c r="H14" s="39"/>
      <c r="I14" s="14">
        <f t="shared" si="0"/>
        <v>0</v>
      </c>
      <c r="J14" s="27"/>
      <c r="K14" s="32"/>
      <c r="L14" s="32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12">
        <v>20</v>
      </c>
      <c r="AI14" s="33">
        <v>60</v>
      </c>
      <c r="AJ14" s="34">
        <v>4.52</v>
      </c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35" customFormat="1" ht="12">
      <c r="A15" s="11" t="s">
        <v>43</v>
      </c>
      <c r="B15" s="12" t="s">
        <v>33</v>
      </c>
      <c r="C15" s="31">
        <f>(AJ15)/((13.72)*(AH15+14.7)*(SQRT(520/(0.6*(AI15+460)))))</f>
        <v>0.06159204704359279</v>
      </c>
      <c r="D15" s="39">
        <v>35</v>
      </c>
      <c r="E15" s="12">
        <v>45</v>
      </c>
      <c r="F15" s="39">
        <v>60</v>
      </c>
      <c r="G15" s="13">
        <f>13.72*(C15)*(D15+14.7)*(SQRT(520/(0.6*(F15+460))))</f>
        <v>54.220000000000006</v>
      </c>
      <c r="H15" s="39"/>
      <c r="I15" s="14">
        <f t="shared" si="0"/>
        <v>0</v>
      </c>
      <c r="J15" s="27"/>
      <c r="K15" s="32"/>
      <c r="L15" s="32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31">
        <f>(AJ15)/((13.72)*(D15+14.7)*(SQRT(520/(0.6*(F15+460)))))</f>
        <v>0.06159204704359279</v>
      </c>
      <c r="AH15" s="12">
        <v>35</v>
      </c>
      <c r="AI15" s="33">
        <v>60</v>
      </c>
      <c r="AJ15" s="34">
        <v>54.22</v>
      </c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35" customFormat="1" ht="12">
      <c r="A16" s="11" t="s">
        <v>43</v>
      </c>
      <c r="B16" s="12" t="s">
        <v>16</v>
      </c>
      <c r="C16" s="31">
        <f>(AJ16)/((13.72)*(AH16+14.7)*(SQRT(520/(0.6*(AI16+460)))))</f>
        <v>0.02199229123504162</v>
      </c>
      <c r="D16" s="39">
        <v>35</v>
      </c>
      <c r="E16" s="12">
        <v>100</v>
      </c>
      <c r="F16" s="39">
        <v>60</v>
      </c>
      <c r="G16" s="13">
        <f>13.72*(C16)*(D16+14.7)*(SQRT(520/(0.6*(F16+460))))</f>
        <v>19.360000000000003</v>
      </c>
      <c r="H16" s="39"/>
      <c r="I16" s="14">
        <f t="shared" si="0"/>
        <v>0</v>
      </c>
      <c r="J16" s="27"/>
      <c r="K16" s="32"/>
      <c r="L16" s="3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2">
        <v>35</v>
      </c>
      <c r="AI16" s="33">
        <v>60</v>
      </c>
      <c r="AJ16" s="34">
        <v>19.36</v>
      </c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35" customFormat="1" ht="12">
      <c r="A17" s="11" t="s">
        <v>43</v>
      </c>
      <c r="B17" s="12" t="s">
        <v>1</v>
      </c>
      <c r="C17" s="31">
        <f>(AJ17)/((13.72)*(AH17+14.7)*(SQRT(520/(0.6*(AI17+460)))))</f>
        <v>0.03781187057992302</v>
      </c>
      <c r="D17" s="39">
        <v>20</v>
      </c>
      <c r="E17" s="12">
        <v>30</v>
      </c>
      <c r="F17" s="39">
        <v>60</v>
      </c>
      <c r="G17" s="13">
        <f>13.72*(C17)*(D17+14.7)*(SQRT(520/(0.6*(F17+460))))</f>
        <v>23.24</v>
      </c>
      <c r="H17" s="39"/>
      <c r="I17" s="14">
        <f t="shared" si="0"/>
        <v>0</v>
      </c>
      <c r="J17" s="27"/>
      <c r="K17" s="32"/>
      <c r="L17" s="32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2">
        <v>20</v>
      </c>
      <c r="AI17" s="33">
        <v>60</v>
      </c>
      <c r="AJ17" s="34">
        <v>23.24</v>
      </c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ht="12">
      <c r="A18" s="11"/>
      <c r="B18" s="12"/>
      <c r="C18" s="31"/>
      <c r="D18" s="15"/>
      <c r="E18" s="12"/>
      <c r="F18" s="15"/>
      <c r="G18" s="13"/>
      <c r="H18" s="39"/>
      <c r="I18" s="14"/>
      <c r="J18" s="27"/>
      <c r="K18" s="32"/>
      <c r="L18" s="32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12"/>
      <c r="AI18" s="12"/>
      <c r="AJ18" s="32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s="35" customFormat="1" ht="12">
      <c r="A19" s="11" t="s">
        <v>3</v>
      </c>
      <c r="B19" s="12" t="s">
        <v>13</v>
      </c>
      <c r="C19" s="31">
        <f aca="true" t="shared" si="1" ref="C19:C28">(AJ19)/((13.72)*(AH19+14.7)*(SQRT(520/(0.6*(AI19+460)))))</f>
        <v>0.000613421346431946</v>
      </c>
      <c r="D19" s="39">
        <v>35</v>
      </c>
      <c r="E19" s="12">
        <v>100</v>
      </c>
      <c r="F19" s="39">
        <v>60</v>
      </c>
      <c r="G19" s="13">
        <f>13.72*(C19)*(D19+14.7)*(SQRT(520/(0.6*(F19+460))))</f>
        <v>0.5400000000000001</v>
      </c>
      <c r="H19" s="39"/>
      <c r="I19" s="14">
        <f>+G19*H19</f>
        <v>0</v>
      </c>
      <c r="J19" s="27"/>
      <c r="K19" s="32"/>
      <c r="L19" s="32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2">
        <v>35</v>
      </c>
      <c r="AI19" s="33">
        <v>60</v>
      </c>
      <c r="AJ19" s="34">
        <v>0.54</v>
      </c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35" customFormat="1" ht="12">
      <c r="A20" s="11" t="s">
        <v>3</v>
      </c>
      <c r="B20" s="12" t="s">
        <v>4</v>
      </c>
      <c r="C20" s="31">
        <f t="shared" si="1"/>
        <v>0.020158738230862578</v>
      </c>
      <c r="D20" s="39">
        <v>20</v>
      </c>
      <c r="E20" s="12">
        <v>20</v>
      </c>
      <c r="F20" s="39">
        <v>60</v>
      </c>
      <c r="G20" s="13">
        <f>13.72*(C20)*(D20+14.7)*(SQRT(520/(0.6*(F20+460))))</f>
        <v>12.390000000000004</v>
      </c>
      <c r="H20" s="39"/>
      <c r="I20" s="14">
        <f>+G20*H20</f>
        <v>0</v>
      </c>
      <c r="J20" s="27"/>
      <c r="K20" s="32"/>
      <c r="L20" s="32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12">
        <v>20</v>
      </c>
      <c r="AI20" s="33">
        <v>60</v>
      </c>
      <c r="AJ20" s="34">
        <v>12.39</v>
      </c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35" customFormat="1" ht="12">
      <c r="A21" s="11" t="s">
        <v>3</v>
      </c>
      <c r="B21" s="12" t="s">
        <v>8</v>
      </c>
      <c r="C21" s="31">
        <f t="shared" si="1"/>
        <v>0.021004786970172384</v>
      </c>
      <c r="D21" s="39">
        <v>20</v>
      </c>
      <c r="E21" s="12">
        <v>50</v>
      </c>
      <c r="F21" s="39">
        <v>60</v>
      </c>
      <c r="G21" s="13">
        <f>13.72*(C21)*(D21+14.7)*(SQRT(520/(0.6*(F21+460))))</f>
        <v>12.909999999999998</v>
      </c>
      <c r="H21" s="39"/>
      <c r="I21" s="14">
        <f>+G21*H21</f>
        <v>0</v>
      </c>
      <c r="J21" s="27"/>
      <c r="K21" s="32"/>
      <c r="L21" s="32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2">
        <v>20</v>
      </c>
      <c r="AI21" s="33">
        <v>60</v>
      </c>
      <c r="AJ21" s="34">
        <v>12.91</v>
      </c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ht="12">
      <c r="A22" s="11"/>
      <c r="B22" s="12"/>
      <c r="C22" s="31">
        <f t="shared" si="1"/>
        <v>0</v>
      </c>
      <c r="D22" s="39"/>
      <c r="E22" s="12"/>
      <c r="F22" s="39"/>
      <c r="G22" s="13"/>
      <c r="H22" s="39"/>
      <c r="I22" s="14"/>
      <c r="J22" s="27"/>
      <c r="K22" s="32"/>
      <c r="L22" s="32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12"/>
      <c r="AI22" s="12"/>
      <c r="AJ22" s="32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s="35" customFormat="1" ht="12">
      <c r="A23" s="11" t="s">
        <v>48</v>
      </c>
      <c r="B23" s="12" t="s">
        <v>2</v>
      </c>
      <c r="C23" s="31">
        <f t="shared" si="1"/>
        <v>0.045377498729520356</v>
      </c>
      <c r="D23" s="39">
        <v>20</v>
      </c>
      <c r="E23" s="12">
        <v>20</v>
      </c>
      <c r="F23" s="39">
        <v>60</v>
      </c>
      <c r="G23" s="13">
        <f aca="true" t="shared" si="2" ref="G23:G28">13.72*(C23)*(D23+14.7)*(SQRT(520/(0.6*(F23+460))))</f>
        <v>27.89</v>
      </c>
      <c r="H23" s="39"/>
      <c r="I23" s="14">
        <f aca="true" t="shared" si="3" ref="I23:I28">+G23*H23</f>
        <v>0</v>
      </c>
      <c r="J23" s="27"/>
      <c r="K23" s="32"/>
      <c r="L23" s="3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2">
        <v>20</v>
      </c>
      <c r="AI23" s="33">
        <v>60</v>
      </c>
      <c r="AJ23" s="34">
        <v>27.89</v>
      </c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s="35" customFormat="1" ht="12">
      <c r="A24" s="11" t="s">
        <v>48</v>
      </c>
      <c r="B24" s="12" t="s">
        <v>5</v>
      </c>
      <c r="C24" s="31">
        <f t="shared" si="1"/>
        <v>0.00629655504063262</v>
      </c>
      <c r="D24" s="39">
        <v>20</v>
      </c>
      <c r="E24" s="12">
        <v>150</v>
      </c>
      <c r="F24" s="39">
        <v>60</v>
      </c>
      <c r="G24" s="13">
        <f t="shared" si="2"/>
        <v>3.87</v>
      </c>
      <c r="H24" s="39"/>
      <c r="I24" s="14">
        <f t="shared" si="3"/>
        <v>0</v>
      </c>
      <c r="J24" s="27"/>
      <c r="K24" s="32"/>
      <c r="L24" s="32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12">
        <v>20</v>
      </c>
      <c r="AI24" s="33">
        <v>60</v>
      </c>
      <c r="AJ24" s="34">
        <v>3.87</v>
      </c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s="35" customFormat="1" ht="12">
      <c r="A25" s="11" t="s">
        <v>48</v>
      </c>
      <c r="B25" s="12" t="s">
        <v>19</v>
      </c>
      <c r="C25" s="31">
        <f t="shared" si="1"/>
        <v>0.015456659660467673</v>
      </c>
      <c r="D25" s="39">
        <v>20</v>
      </c>
      <c r="E25" s="12">
        <v>120</v>
      </c>
      <c r="F25" s="39">
        <v>60</v>
      </c>
      <c r="G25" s="13">
        <f t="shared" si="2"/>
        <v>9.5</v>
      </c>
      <c r="H25" s="39"/>
      <c r="I25" s="14">
        <f t="shared" si="3"/>
        <v>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2">
        <v>20</v>
      </c>
      <c r="AI25" s="33">
        <v>60</v>
      </c>
      <c r="AJ25" s="34">
        <v>9.5</v>
      </c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s="35" customFormat="1" ht="12">
      <c r="A26" s="11" t="s">
        <v>48</v>
      </c>
      <c r="B26" s="12" t="s">
        <v>6</v>
      </c>
      <c r="C26" s="31">
        <f t="shared" si="1"/>
        <v>0.016432869744286684</v>
      </c>
      <c r="D26" s="39">
        <v>20</v>
      </c>
      <c r="E26" s="12">
        <v>50</v>
      </c>
      <c r="F26" s="39">
        <v>60</v>
      </c>
      <c r="G26" s="13">
        <f t="shared" si="2"/>
        <v>10.100000000000001</v>
      </c>
      <c r="H26" s="39"/>
      <c r="I26" s="14">
        <f t="shared" si="3"/>
        <v>0</v>
      </c>
      <c r="J26" s="27"/>
      <c r="K26" s="32"/>
      <c r="L26" s="32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12">
        <v>20</v>
      </c>
      <c r="AI26" s="33">
        <v>60</v>
      </c>
      <c r="AJ26" s="34">
        <v>10.1</v>
      </c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s="35" customFormat="1" ht="12">
      <c r="A27" s="11" t="s">
        <v>48</v>
      </c>
      <c r="B27" s="12" t="s">
        <v>20</v>
      </c>
      <c r="C27" s="31">
        <f t="shared" si="1"/>
        <v>0.04410842562055564</v>
      </c>
      <c r="D27" s="39">
        <v>20</v>
      </c>
      <c r="E27" s="12">
        <v>50</v>
      </c>
      <c r="F27" s="39">
        <v>60</v>
      </c>
      <c r="G27" s="13">
        <f t="shared" si="2"/>
        <v>27.110000000000003</v>
      </c>
      <c r="H27" s="39"/>
      <c r="I27" s="14">
        <f t="shared" si="3"/>
        <v>0</v>
      </c>
      <c r="J27" s="27"/>
      <c r="K27" s="32"/>
      <c r="L27" s="32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2">
        <v>20</v>
      </c>
      <c r="AI27" s="33">
        <v>60</v>
      </c>
      <c r="AJ27" s="34">
        <v>27.11</v>
      </c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s="35" customFormat="1" ht="12">
      <c r="A28" s="11" t="s">
        <v>48</v>
      </c>
      <c r="B28" s="12" t="s">
        <v>49</v>
      </c>
      <c r="C28" s="31">
        <f t="shared" si="1"/>
        <v>0.025202490330594133</v>
      </c>
      <c r="D28" s="39">
        <v>20</v>
      </c>
      <c r="E28" s="12">
        <v>35</v>
      </c>
      <c r="F28" s="39">
        <v>60</v>
      </c>
      <c r="G28" s="13">
        <f t="shared" si="2"/>
        <v>15.49</v>
      </c>
      <c r="H28" s="39"/>
      <c r="I28" s="14">
        <f t="shared" si="3"/>
        <v>0</v>
      </c>
      <c r="J28" s="27"/>
      <c r="K28" s="32"/>
      <c r="L28" s="32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12">
        <v>20</v>
      </c>
      <c r="AI28" s="33">
        <v>60</v>
      </c>
      <c r="AJ28" s="34">
        <v>15.49</v>
      </c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ht="12">
      <c r="A29" s="11"/>
      <c r="B29" s="16"/>
      <c r="C29" s="31"/>
      <c r="D29" s="44"/>
      <c r="E29" s="46"/>
      <c r="F29" s="44"/>
      <c r="G29" s="47"/>
      <c r="H29" s="43"/>
      <c r="I29" s="14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6"/>
      <c r="AI29" s="16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ht="12">
      <c r="A30" s="11" t="s">
        <v>50</v>
      </c>
      <c r="B30" s="12" t="s">
        <v>12</v>
      </c>
      <c r="C30" s="31">
        <f aca="true" t="shared" si="4" ref="C30:C44">(AJ30)/((13.72)*(AH30+14.7)*(SQRT(520/(0.6*(AI30+460)))))</f>
        <v>0.020711360860886048</v>
      </c>
      <c r="D30" s="39">
        <v>150</v>
      </c>
      <c r="E30" s="12">
        <v>150</v>
      </c>
      <c r="F30" s="39">
        <v>60</v>
      </c>
      <c r="G30" s="13">
        <f aca="true" t="shared" si="5" ref="G30:G44">13.72*(C30)*(D30+14.7)*(SQRT(520/(0.6*(F30+460))))</f>
        <v>60.42</v>
      </c>
      <c r="H30" s="39"/>
      <c r="I30" s="14">
        <f aca="true" t="shared" si="6" ref="I30:I44">+G30*H30</f>
        <v>0</v>
      </c>
      <c r="J30" s="27"/>
      <c r="K30" s="32"/>
      <c r="L30" s="32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3">
        <v>150</v>
      </c>
      <c r="AI30" s="33">
        <v>60</v>
      </c>
      <c r="AJ30" s="34">
        <v>60.42</v>
      </c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s="35" customFormat="1" ht="12">
      <c r="A31" s="11" t="s">
        <v>50</v>
      </c>
      <c r="B31" s="12" t="s">
        <v>9</v>
      </c>
      <c r="C31" s="31">
        <f t="shared" si="4"/>
        <v>0.015248934864369946</v>
      </c>
      <c r="D31" s="39">
        <v>100</v>
      </c>
      <c r="E31" s="12">
        <v>150</v>
      </c>
      <c r="F31" s="39">
        <v>60</v>
      </c>
      <c r="G31" s="13">
        <f t="shared" si="5"/>
        <v>30.98</v>
      </c>
      <c r="H31" s="39"/>
      <c r="I31" s="14">
        <f t="shared" si="6"/>
        <v>0</v>
      </c>
      <c r="J31" s="27"/>
      <c r="K31" s="32"/>
      <c r="L31" s="32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3">
        <v>100</v>
      </c>
      <c r="AI31" s="33">
        <v>60</v>
      </c>
      <c r="AJ31" s="34">
        <v>30.98</v>
      </c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s="35" customFormat="1" ht="12">
      <c r="A32" s="11" t="s">
        <v>50</v>
      </c>
      <c r="B32" s="12" t="s">
        <v>51</v>
      </c>
      <c r="C32" s="31">
        <f t="shared" si="4"/>
        <v>0.012704164262407626</v>
      </c>
      <c r="D32" s="39">
        <v>100</v>
      </c>
      <c r="E32" s="12">
        <v>150</v>
      </c>
      <c r="F32" s="39">
        <v>60</v>
      </c>
      <c r="G32" s="13">
        <f t="shared" si="5"/>
        <v>25.80999999999999</v>
      </c>
      <c r="H32" s="39"/>
      <c r="I32" s="14">
        <f t="shared" si="6"/>
        <v>0</v>
      </c>
      <c r="J32" s="27"/>
      <c r="K32" s="32"/>
      <c r="L32" s="32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33">
        <v>100</v>
      </c>
      <c r="AI32" s="33">
        <v>60</v>
      </c>
      <c r="AJ32" s="34">
        <v>25.81</v>
      </c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35" customFormat="1" ht="12">
      <c r="A33" s="11" t="s">
        <v>50</v>
      </c>
      <c r="B33" s="12" t="s">
        <v>21</v>
      </c>
      <c r="C33" s="31">
        <f t="shared" si="4"/>
        <v>0.01260938024932889</v>
      </c>
      <c r="D33" s="39">
        <v>20</v>
      </c>
      <c r="E33" s="12">
        <v>90</v>
      </c>
      <c r="F33" s="39">
        <v>60</v>
      </c>
      <c r="G33" s="13">
        <f t="shared" si="5"/>
        <v>7.749999999999999</v>
      </c>
      <c r="H33" s="39"/>
      <c r="I33" s="14">
        <f t="shared" si="6"/>
        <v>0</v>
      </c>
      <c r="J33" s="27"/>
      <c r="K33" s="32"/>
      <c r="L33" s="32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33">
        <v>20</v>
      </c>
      <c r="AI33" s="33">
        <v>60</v>
      </c>
      <c r="AJ33" s="34">
        <v>7.75</v>
      </c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s="35" customFormat="1" ht="12">
      <c r="A34" s="11" t="s">
        <v>50</v>
      </c>
      <c r="B34" s="12" t="s">
        <v>7</v>
      </c>
      <c r="C34" s="31">
        <f t="shared" si="4"/>
        <v>0.027321794069455296</v>
      </c>
      <c r="D34" s="39">
        <v>60</v>
      </c>
      <c r="E34" s="12">
        <v>150</v>
      </c>
      <c r="F34" s="39">
        <v>60</v>
      </c>
      <c r="G34" s="13">
        <f t="shared" si="5"/>
        <v>36.15</v>
      </c>
      <c r="H34" s="39"/>
      <c r="I34" s="14">
        <f t="shared" si="6"/>
        <v>0</v>
      </c>
      <c r="J34" s="27"/>
      <c r="K34" s="32"/>
      <c r="L34" s="32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3">
        <v>60</v>
      </c>
      <c r="AI34" s="33">
        <v>60</v>
      </c>
      <c r="AJ34" s="34">
        <v>36.15</v>
      </c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s="35" customFormat="1" ht="12">
      <c r="A35" s="11" t="s">
        <v>50</v>
      </c>
      <c r="B35" s="12" t="s">
        <v>22</v>
      </c>
      <c r="C35" s="31">
        <f t="shared" si="4"/>
        <v>0.012707001257710791</v>
      </c>
      <c r="D35" s="39">
        <v>20</v>
      </c>
      <c r="E35" s="12">
        <v>90</v>
      </c>
      <c r="F35" s="39">
        <v>60</v>
      </c>
      <c r="G35" s="13">
        <f t="shared" si="5"/>
        <v>7.809999999999999</v>
      </c>
      <c r="H35" s="39"/>
      <c r="I35" s="14">
        <f t="shared" si="6"/>
        <v>0</v>
      </c>
      <c r="J35" s="27"/>
      <c r="K35" s="32"/>
      <c r="L35" s="32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33">
        <v>20</v>
      </c>
      <c r="AI35" s="33">
        <v>60</v>
      </c>
      <c r="AJ35" s="34">
        <v>7.81</v>
      </c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s="35" customFormat="1" ht="12">
      <c r="A36" s="11" t="s">
        <v>50</v>
      </c>
      <c r="B36" s="12" t="s">
        <v>23</v>
      </c>
      <c r="C36" s="31">
        <f t="shared" si="4"/>
        <v>0.018064237693973403</v>
      </c>
      <c r="D36" s="39">
        <v>90</v>
      </c>
      <c r="E36" s="12">
        <v>90</v>
      </c>
      <c r="F36" s="39">
        <v>60</v>
      </c>
      <c r="G36" s="13">
        <f t="shared" si="5"/>
        <v>33.5</v>
      </c>
      <c r="H36" s="39"/>
      <c r="I36" s="14">
        <f t="shared" si="6"/>
        <v>0</v>
      </c>
      <c r="J36" s="27"/>
      <c r="K36" s="32"/>
      <c r="L36" s="32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3">
        <v>90</v>
      </c>
      <c r="AI36" s="33">
        <v>60</v>
      </c>
      <c r="AJ36" s="34">
        <v>33.5</v>
      </c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s="35" customFormat="1" ht="12">
      <c r="A37" s="11" t="s">
        <v>50</v>
      </c>
      <c r="B37" s="12" t="s">
        <v>24</v>
      </c>
      <c r="C37" s="31">
        <f t="shared" si="4"/>
        <v>0.0056945588222775635</v>
      </c>
      <c r="D37" s="39">
        <v>20</v>
      </c>
      <c r="E37" s="12">
        <v>90</v>
      </c>
      <c r="F37" s="39">
        <v>60</v>
      </c>
      <c r="G37" s="13">
        <f t="shared" si="5"/>
        <v>3.5</v>
      </c>
      <c r="H37" s="39"/>
      <c r="I37" s="14">
        <f t="shared" si="6"/>
        <v>0</v>
      </c>
      <c r="J37" s="27"/>
      <c r="K37" s="32"/>
      <c r="L37" s="32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33">
        <v>20</v>
      </c>
      <c r="AI37" s="33">
        <v>60</v>
      </c>
      <c r="AJ37" s="34">
        <v>3.5</v>
      </c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s="35" customFormat="1" ht="12">
      <c r="A38" s="11" t="s">
        <v>50</v>
      </c>
      <c r="B38" s="12" t="s">
        <v>25</v>
      </c>
      <c r="C38" s="31">
        <f t="shared" si="4"/>
        <v>0.011389117644555127</v>
      </c>
      <c r="D38" s="39">
        <v>20</v>
      </c>
      <c r="E38" s="12">
        <v>90</v>
      </c>
      <c r="F38" s="39">
        <v>60</v>
      </c>
      <c r="G38" s="13">
        <f t="shared" si="5"/>
        <v>7</v>
      </c>
      <c r="H38" s="39"/>
      <c r="I38" s="14">
        <f t="shared" si="6"/>
        <v>0</v>
      </c>
      <c r="J38" s="27"/>
      <c r="K38" s="32"/>
      <c r="L38" s="32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33">
        <v>20</v>
      </c>
      <c r="AI38" s="33">
        <v>60</v>
      </c>
      <c r="AJ38" s="34">
        <v>7</v>
      </c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s="35" customFormat="1" ht="12">
      <c r="A39" s="11" t="s">
        <v>50</v>
      </c>
      <c r="B39" s="12" t="s">
        <v>26</v>
      </c>
      <c r="C39" s="31">
        <f t="shared" si="4"/>
        <v>0.0056945588222775635</v>
      </c>
      <c r="D39" s="39">
        <v>20</v>
      </c>
      <c r="E39" s="12">
        <v>90</v>
      </c>
      <c r="F39" s="39">
        <v>60</v>
      </c>
      <c r="G39" s="13">
        <f t="shared" si="5"/>
        <v>3.5</v>
      </c>
      <c r="H39" s="39"/>
      <c r="I39" s="14">
        <f t="shared" si="6"/>
        <v>0</v>
      </c>
      <c r="J39" s="27"/>
      <c r="K39" s="32"/>
      <c r="L39" s="32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33">
        <v>20</v>
      </c>
      <c r="AI39" s="33">
        <v>60</v>
      </c>
      <c r="AJ39" s="34">
        <v>3.5</v>
      </c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s="35" customFormat="1" ht="12">
      <c r="A40" s="11" t="s">
        <v>50</v>
      </c>
      <c r="B40" s="12" t="s">
        <v>27</v>
      </c>
      <c r="C40" s="31">
        <f t="shared" si="4"/>
        <v>0.011389117644555127</v>
      </c>
      <c r="D40" s="39">
        <v>20</v>
      </c>
      <c r="E40" s="12">
        <v>90</v>
      </c>
      <c r="F40" s="39">
        <v>60</v>
      </c>
      <c r="G40" s="13">
        <f t="shared" si="5"/>
        <v>7</v>
      </c>
      <c r="H40" s="39"/>
      <c r="I40" s="14">
        <f t="shared" si="6"/>
        <v>0</v>
      </c>
      <c r="J40" s="27"/>
      <c r="K40" s="32"/>
      <c r="L40" s="32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33">
        <v>20</v>
      </c>
      <c r="AI40" s="33">
        <v>60</v>
      </c>
      <c r="AJ40" s="34">
        <v>7</v>
      </c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2">
      <c r="A41" s="11" t="s">
        <v>50</v>
      </c>
      <c r="B41" s="12" t="s">
        <v>53</v>
      </c>
      <c r="C41" s="31">
        <f t="shared" si="4"/>
        <v>0.04097891215617887</v>
      </c>
      <c r="D41" s="39">
        <v>60</v>
      </c>
      <c r="E41" s="12">
        <v>150</v>
      </c>
      <c r="F41" s="39">
        <v>60</v>
      </c>
      <c r="G41" s="13">
        <f t="shared" si="5"/>
        <v>54.22</v>
      </c>
      <c r="H41" s="39"/>
      <c r="I41" s="14">
        <f t="shared" si="6"/>
        <v>0</v>
      </c>
      <c r="J41" s="27"/>
      <c r="K41" s="32"/>
      <c r="L41" s="32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33">
        <v>60</v>
      </c>
      <c r="AI41" s="33">
        <v>60</v>
      </c>
      <c r="AJ41" s="34">
        <v>54.22</v>
      </c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2">
      <c r="A42" s="11" t="s">
        <v>50</v>
      </c>
      <c r="B42" s="12" t="s">
        <v>11</v>
      </c>
      <c r="C42" s="31">
        <f t="shared" si="4"/>
        <v>0.029271731239557498</v>
      </c>
      <c r="D42" s="39">
        <v>60</v>
      </c>
      <c r="E42" s="12">
        <v>150</v>
      </c>
      <c r="F42" s="39">
        <v>60</v>
      </c>
      <c r="G42" s="13">
        <f t="shared" si="5"/>
        <v>38.73</v>
      </c>
      <c r="H42" s="39"/>
      <c r="I42" s="14">
        <f t="shared" si="6"/>
        <v>0</v>
      </c>
      <c r="J42" s="27"/>
      <c r="K42" s="32"/>
      <c r="L42" s="32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33">
        <v>60</v>
      </c>
      <c r="AI42" s="33">
        <v>60</v>
      </c>
      <c r="AJ42" s="34">
        <v>38.73</v>
      </c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s="35" customFormat="1" ht="12">
      <c r="A43" s="11" t="s">
        <v>50</v>
      </c>
      <c r="B43" s="12" t="s">
        <v>28</v>
      </c>
      <c r="C43" s="31">
        <f t="shared" si="4"/>
        <v>0.01606036132107577</v>
      </c>
      <c r="D43" s="39">
        <v>116</v>
      </c>
      <c r="E43" s="12">
        <v>150</v>
      </c>
      <c r="F43" s="39">
        <v>60</v>
      </c>
      <c r="G43" s="13">
        <f t="shared" si="5"/>
        <v>37.18</v>
      </c>
      <c r="H43" s="39"/>
      <c r="I43" s="14">
        <f t="shared" si="6"/>
        <v>0</v>
      </c>
      <c r="J43" s="27"/>
      <c r="K43" s="32"/>
      <c r="L43" s="32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33">
        <v>116</v>
      </c>
      <c r="AI43" s="33">
        <v>60</v>
      </c>
      <c r="AJ43" s="34">
        <v>37.18</v>
      </c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s="35" customFormat="1" ht="12">
      <c r="A44" s="11" t="s">
        <v>50</v>
      </c>
      <c r="B44" s="12" t="s">
        <v>52</v>
      </c>
      <c r="C44" s="31">
        <f t="shared" si="4"/>
        <v>0.014632086671774677</v>
      </c>
      <c r="D44" s="39">
        <v>60</v>
      </c>
      <c r="E44" s="12">
        <v>150</v>
      </c>
      <c r="F44" s="39">
        <v>60</v>
      </c>
      <c r="G44" s="13">
        <f t="shared" si="5"/>
        <v>19.36</v>
      </c>
      <c r="H44" s="39"/>
      <c r="I44" s="14">
        <f t="shared" si="6"/>
        <v>0</v>
      </c>
      <c r="J44" s="27"/>
      <c r="K44" s="32"/>
      <c r="L44" s="32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33">
        <v>60</v>
      </c>
      <c r="AI44" s="33">
        <v>60</v>
      </c>
      <c r="AJ44" s="34">
        <v>19.36</v>
      </c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2">
      <c r="A45" s="11"/>
      <c r="B45" s="12"/>
      <c r="C45" s="31"/>
      <c r="D45" s="43"/>
      <c r="E45" s="46"/>
      <c r="F45" s="43"/>
      <c r="G45" s="47"/>
      <c r="H45" s="43"/>
      <c r="I45" s="14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12"/>
      <c r="AI45" s="12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s="35" customFormat="1" ht="12">
      <c r="A46" s="11" t="s">
        <v>45</v>
      </c>
      <c r="B46" s="12" t="s">
        <v>10</v>
      </c>
      <c r="C46" s="31">
        <f aca="true" t="shared" si="7" ref="C46:C52">(AJ46)/((13.72)*(AH46+14.7)*(SQRT(520/(0.6*(AI46+460)))))</f>
        <v>0.03654368323942022</v>
      </c>
      <c r="D46" s="39">
        <v>90</v>
      </c>
      <c r="E46" s="12">
        <v>150</v>
      </c>
      <c r="F46" s="39">
        <v>60</v>
      </c>
      <c r="G46" s="13">
        <f aca="true" t="shared" si="8" ref="G46:G52">13.72*(C46)*(D46+14.7)*(SQRT(520/(0.6*(F46+460))))</f>
        <v>67.77</v>
      </c>
      <c r="H46" s="39"/>
      <c r="I46" s="14">
        <f aca="true" t="shared" si="9" ref="I46:I52">+G46*H46</f>
        <v>0</v>
      </c>
      <c r="J46" s="27"/>
      <c r="K46" s="32"/>
      <c r="L46" s="32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33">
        <v>90</v>
      </c>
      <c r="AI46" s="33">
        <v>60</v>
      </c>
      <c r="AJ46" s="34">
        <v>67.77</v>
      </c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s="35" customFormat="1" ht="12">
      <c r="A47" s="11" t="s">
        <v>45</v>
      </c>
      <c r="B47" s="12" t="s">
        <v>29</v>
      </c>
      <c r="C47" s="31">
        <f t="shared" si="7"/>
        <v>0.018482910920306607</v>
      </c>
      <c r="D47" s="39">
        <v>20</v>
      </c>
      <c r="E47" s="12">
        <v>90</v>
      </c>
      <c r="F47" s="39">
        <v>60</v>
      </c>
      <c r="G47" s="13">
        <f t="shared" si="8"/>
        <v>11.36</v>
      </c>
      <c r="H47" s="39"/>
      <c r="I47" s="14">
        <f t="shared" si="9"/>
        <v>0</v>
      </c>
      <c r="J47" s="27"/>
      <c r="K47" s="32"/>
      <c r="L47" s="32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3">
        <v>20</v>
      </c>
      <c r="AI47" s="33">
        <v>60</v>
      </c>
      <c r="AJ47" s="34">
        <v>11.36</v>
      </c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s="35" customFormat="1" ht="12">
      <c r="A48" s="11" t="s">
        <v>45</v>
      </c>
      <c r="B48" s="12" t="s">
        <v>30</v>
      </c>
      <c r="C48" s="31">
        <f t="shared" si="7"/>
        <v>0.029400193691015878</v>
      </c>
      <c r="D48" s="39">
        <v>20</v>
      </c>
      <c r="E48" s="12">
        <v>50</v>
      </c>
      <c r="F48" s="39">
        <v>60</v>
      </c>
      <c r="G48" s="13">
        <f t="shared" si="8"/>
        <v>18.07</v>
      </c>
      <c r="H48" s="39"/>
      <c r="I48" s="14">
        <f t="shared" si="9"/>
        <v>0</v>
      </c>
      <c r="J48" s="27"/>
      <c r="K48" s="32"/>
      <c r="L48" s="32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33">
        <v>20</v>
      </c>
      <c r="AI48" s="33">
        <v>60</v>
      </c>
      <c r="AJ48" s="34">
        <v>18.07</v>
      </c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s="35" customFormat="1" ht="12">
      <c r="A49" s="11" t="s">
        <v>45</v>
      </c>
      <c r="B49" s="12" t="s">
        <v>31</v>
      </c>
      <c r="C49" s="31">
        <f t="shared" si="7"/>
        <v>0.05279967441140156</v>
      </c>
      <c r="D49" s="39">
        <v>35</v>
      </c>
      <c r="E49" s="12">
        <v>50</v>
      </c>
      <c r="F49" s="39">
        <v>60</v>
      </c>
      <c r="G49" s="13">
        <f t="shared" si="8"/>
        <v>46.48</v>
      </c>
      <c r="H49" s="39"/>
      <c r="I49" s="14">
        <f t="shared" si="9"/>
        <v>0</v>
      </c>
      <c r="J49" s="27"/>
      <c r="K49" s="32"/>
      <c r="L49" s="32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33">
        <v>35</v>
      </c>
      <c r="AI49" s="33">
        <v>60</v>
      </c>
      <c r="AJ49" s="34">
        <v>46.48</v>
      </c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s="35" customFormat="1" ht="12">
      <c r="A50" s="11" t="s">
        <v>45</v>
      </c>
      <c r="B50" s="12" t="s">
        <v>32</v>
      </c>
      <c r="C50" s="31">
        <f t="shared" si="7"/>
        <v>0.036136043269367056</v>
      </c>
      <c r="D50" s="39">
        <v>20</v>
      </c>
      <c r="E50" s="12">
        <v>50</v>
      </c>
      <c r="F50" s="39">
        <v>60</v>
      </c>
      <c r="G50" s="13">
        <f t="shared" si="8"/>
        <v>22.21</v>
      </c>
      <c r="H50" s="39"/>
      <c r="I50" s="14">
        <f t="shared" si="9"/>
        <v>0</v>
      </c>
      <c r="J50" s="27"/>
      <c r="K50" s="32"/>
      <c r="L50" s="32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3">
        <v>20</v>
      </c>
      <c r="AI50" s="33">
        <v>60</v>
      </c>
      <c r="AJ50" s="34">
        <v>22.21</v>
      </c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s="35" customFormat="1" ht="12">
      <c r="A51" s="11" t="s">
        <v>45</v>
      </c>
      <c r="B51" s="12" t="s">
        <v>46</v>
      </c>
      <c r="C51" s="31">
        <f t="shared" si="7"/>
        <v>0.022238440192777084</v>
      </c>
      <c r="D51" s="39">
        <v>100</v>
      </c>
      <c r="E51" s="12">
        <v>150</v>
      </c>
      <c r="F51" s="39">
        <v>60</v>
      </c>
      <c r="G51" s="13">
        <f t="shared" si="8"/>
        <v>45.18</v>
      </c>
      <c r="H51" s="39"/>
      <c r="I51" s="14">
        <f t="shared" si="9"/>
        <v>0</v>
      </c>
      <c r="J51" s="27"/>
      <c r="K51" s="32"/>
      <c r="L51" s="32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33">
        <v>100</v>
      </c>
      <c r="AI51" s="33">
        <v>60</v>
      </c>
      <c r="AJ51" s="34">
        <v>45.18</v>
      </c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s="35" customFormat="1" ht="12" thickBot="1">
      <c r="A52" s="17" t="s">
        <v>45</v>
      </c>
      <c r="B52" s="18" t="s">
        <v>47</v>
      </c>
      <c r="C52" s="36">
        <f t="shared" si="7"/>
        <v>0.018146508315563532</v>
      </c>
      <c r="D52" s="45">
        <v>60</v>
      </c>
      <c r="E52" s="18">
        <v>150</v>
      </c>
      <c r="F52" s="45">
        <v>60</v>
      </c>
      <c r="G52" s="19">
        <f t="shared" si="8"/>
        <v>24.01</v>
      </c>
      <c r="H52" s="45"/>
      <c r="I52" s="20">
        <f t="shared" si="9"/>
        <v>0</v>
      </c>
      <c r="J52" s="27"/>
      <c r="K52" s="32"/>
      <c r="L52" s="32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37">
        <v>60</v>
      </c>
      <c r="AI52" s="33">
        <v>60</v>
      </c>
      <c r="AJ52" s="34">
        <v>24.01</v>
      </c>
      <c r="AK52" s="27"/>
      <c r="AL52" s="27"/>
      <c r="AM52" s="27"/>
      <c r="AN52" s="27"/>
      <c r="AO52" s="27"/>
      <c r="AP52" s="27"/>
      <c r="AQ52" s="27"/>
      <c r="AR52" s="27"/>
      <c r="AS52" s="27"/>
    </row>
    <row r="53" spans="7:45" ht="12">
      <c r="G53" s="51"/>
      <c r="H53" s="53" t="s">
        <v>63</v>
      </c>
      <c r="I53" s="52">
        <f>365*24*SUM(I7:I52)</f>
        <v>0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</row>
    <row r="54" spans="1:45" ht="12">
      <c r="A54" s="22" t="s">
        <v>54</v>
      </c>
      <c r="B54" s="23"/>
      <c r="C54" s="23"/>
      <c r="D54" s="23"/>
      <c r="E54" s="23"/>
      <c r="F54" s="23"/>
      <c r="G54" s="24"/>
      <c r="H54" s="23"/>
      <c r="I54" s="23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1:46" ht="12">
      <c r="A55" s="22" t="s">
        <v>55</v>
      </c>
      <c r="B55" s="22"/>
      <c r="C55" s="22"/>
      <c r="D55" s="22"/>
      <c r="E55" s="22"/>
      <c r="F55" s="22"/>
      <c r="G55" s="25"/>
      <c r="H55" s="22"/>
      <c r="I55" s="22"/>
      <c r="J55" s="22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</row>
    <row r="56" spans="1:46" ht="12">
      <c r="A56" s="22" t="s">
        <v>56</v>
      </c>
      <c r="B56" s="22"/>
      <c r="C56" s="22"/>
      <c r="D56" s="22"/>
      <c r="E56" s="22"/>
      <c r="F56" s="22"/>
      <c r="G56" s="25"/>
      <c r="H56" s="22"/>
      <c r="I56" s="22"/>
      <c r="J56" s="22"/>
      <c r="K56" s="38"/>
      <c r="L56" s="38"/>
      <c r="M56" s="38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</row>
    <row r="57" spans="1:46" ht="12">
      <c r="A57" s="50" t="s">
        <v>0</v>
      </c>
      <c r="B57" s="50"/>
      <c r="C57" s="50"/>
      <c r="D57" s="50"/>
      <c r="E57" s="50"/>
      <c r="F57" s="50"/>
      <c r="G57" s="50"/>
      <c r="H57" s="50"/>
      <c r="I57" s="50"/>
      <c r="J57" s="50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</row>
    <row r="58" spans="16:46" ht="12"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</row>
    <row r="59" spans="2:46" ht="12">
      <c r="B59" s="41" t="s">
        <v>57</v>
      </c>
      <c r="C59" s="26"/>
      <c r="D59" s="26"/>
      <c r="E59" s="27"/>
      <c r="F59" s="26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</row>
    <row r="74" spans="2:9" ht="12">
      <c r="B74" s="21"/>
      <c r="C74" s="2" t="s">
        <v>37</v>
      </c>
      <c r="F74"/>
      <c r="G74"/>
      <c r="I74" s="2" t="s">
        <v>38</v>
      </c>
    </row>
    <row r="75" spans="2:7" ht="12">
      <c r="B75" s="21"/>
      <c r="C75" s="2" t="s">
        <v>39</v>
      </c>
      <c r="D75" s="2" t="s">
        <v>40</v>
      </c>
      <c r="E75" s="2" t="s">
        <v>41</v>
      </c>
      <c r="F75"/>
      <c r="G75"/>
    </row>
    <row r="76" spans="2:14" ht="12">
      <c r="B76" s="21">
        <v>3</v>
      </c>
      <c r="C76" s="2">
        <f>3+14.7</f>
        <v>17.7</v>
      </c>
      <c r="D76" s="2">
        <v>10</v>
      </c>
      <c r="E76" s="2">
        <f>D76/(13.72*(C76+14.7)*(SQRT(520/(0.6*520))))</f>
        <v>0.017425149129896955</v>
      </c>
      <c r="F76"/>
      <c r="G76">
        <f>0.0073*(B76)^3-0.276*(B76)^2+4.9344*(B76)-2.5156</f>
        <v>10.000700000000002</v>
      </c>
      <c r="I76" s="21">
        <v>6</v>
      </c>
      <c r="J76" s="2">
        <f>6+14.7</f>
        <v>20.7</v>
      </c>
      <c r="K76" s="2">
        <v>10</v>
      </c>
      <c r="L76" s="2">
        <f>K76/(13.72*(J76+14.7)*(SQRT(520/(0.6*520))))</f>
        <v>0.01594844157651586</v>
      </c>
      <c r="M76"/>
      <c r="N76">
        <f>0.0014*(I76)^3-0.0951*(I76)^2+2.8234*(I76)-3.8281</f>
        <v>9.9911</v>
      </c>
    </row>
    <row r="77" spans="2:14" ht="12">
      <c r="B77" s="21">
        <v>7</v>
      </c>
      <c r="C77" s="2">
        <f>7+14.7</f>
        <v>21.7</v>
      </c>
      <c r="D77" s="2">
        <v>21</v>
      </c>
      <c r="E77" s="2">
        <f>D77/(13.72*(C77+14.7)*(SQRT(520/(0.6*520))))</f>
        <v>0.032571624912038154</v>
      </c>
      <c r="F77"/>
      <c r="G77">
        <f>0.0073*(B77)^3-0.276*(B77)^2+4.9344*(B77)-2.5156</f>
        <v>21.005100000000006</v>
      </c>
      <c r="I77" s="21">
        <v>14</v>
      </c>
      <c r="J77" s="2">
        <f>14+14.7</f>
        <v>28.7</v>
      </c>
      <c r="K77" s="2">
        <v>21</v>
      </c>
      <c r="L77" s="2">
        <f>K77/(13.72*(J77+14.7)*(SQRT(520/(0.6*520))))</f>
        <v>0.027318137022999744</v>
      </c>
      <c r="M77"/>
      <c r="N77">
        <f>0.0014*(I77)^3-0.0951*(I77)^2+2.8234*(I77)-3.8281</f>
        <v>20.9015</v>
      </c>
    </row>
    <row r="78" spans="2:14" ht="12">
      <c r="B78" s="21"/>
      <c r="F78"/>
      <c r="G78">
        <f>0.0073*(B78)^3-0.276*(B78)^2+4.9344*(B78)-2.5156</f>
        <v>-2.5156</v>
      </c>
      <c r="I78" s="21">
        <v>26</v>
      </c>
      <c r="K78" s="2">
        <v>30.5</v>
      </c>
      <c r="M78"/>
      <c r="N78">
        <f>0.0014*(I78)^3-0.0951*(I78)^2+2.8234*(I78)-3.8281</f>
        <v>29.899100000000004</v>
      </c>
    </row>
    <row r="79" spans="2:14" ht="12">
      <c r="B79" s="21">
        <v>15</v>
      </c>
      <c r="C79" s="2">
        <f>15+14.7</f>
        <v>29.7</v>
      </c>
      <c r="D79" s="2">
        <v>34</v>
      </c>
      <c r="E79" s="2">
        <f>D79/(13.72*(C79+14.7)*(SQRT(520/(0.6*520))))</f>
        <v>0.0432332078412038</v>
      </c>
      <c r="F79"/>
      <c r="G79">
        <f>0.0073*(B79)^3-0.276*(B79)^2+4.9344*(B79)-2.5156</f>
        <v>34.0379</v>
      </c>
      <c r="I79" s="21">
        <v>30</v>
      </c>
      <c r="J79" s="2">
        <f>30+14.7</f>
        <v>44.7</v>
      </c>
      <c r="K79" s="2">
        <v>34</v>
      </c>
      <c r="L79" s="2">
        <f>K79/(13.72*(J79+14.7)*(SQRT(520/(0.6*520))))</f>
        <v>0.03231573111362708</v>
      </c>
      <c r="M79"/>
      <c r="N79">
        <f>0.0014*(I79)^3-0.0951*(I79)^2+2.8234*(I79)-3.8281</f>
        <v>33.08389999999999</v>
      </c>
    </row>
    <row r="80" spans="2:7" ht="12">
      <c r="B80" s="21"/>
      <c r="F80"/>
      <c r="G80"/>
    </row>
    <row r="85" ht="12">
      <c r="S85" s="28">
        <f>SUM(I7:I52)</f>
        <v>0</v>
      </c>
    </row>
  </sheetData>
  <sheetProtection/>
  <mergeCells count="1">
    <mergeCell ref="A57:J57"/>
  </mergeCells>
  <dataValidations count="1">
    <dataValidation type="whole" allowBlank="1" showInputMessage="1" showErrorMessage="1" sqref="D7:D52">
      <formula1>0</formula1>
      <formula2>E7</formula2>
    </dataValidation>
  </dataValidations>
  <printOptions horizontalCentered="1"/>
  <pageMargins left="0.25" right="0.25" top="1" bottom="1" header="0.5" footer="0.5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Garvey</dc:creator>
  <cp:keywords/>
  <dc:description/>
  <cp:lastModifiedBy>Michael Garvey</cp:lastModifiedBy>
  <cp:lastPrinted>2021-07-13T15:21:49Z</cp:lastPrinted>
  <dcterms:created xsi:type="dcterms:W3CDTF">2008-05-20T15:53:41Z</dcterms:created>
  <dcterms:modified xsi:type="dcterms:W3CDTF">2021-07-13T15:23:24Z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Vladimir Rimboym</vt:lpwstr>
  </property>
  <property fmtid="{D5CDD505-2E9C-101B-9397-08002B2CF9AE}" pid="3" name="display_urn:schemas-microsoft-com:office:office#Author">
    <vt:lpwstr>Vladimir Rimboym</vt:lpwstr>
  </property>
  <property fmtid="{D5CDD505-2E9C-101B-9397-08002B2CF9AE}" pid="4" name="MigrationWizId">
    <vt:lpwstr>A4742E1DA15EB79C</vt:lpwstr>
  </property>
  <property fmtid="{D5CDD505-2E9C-101B-9397-08002B2CF9AE}" pid="5" name="MigrationWizIdSecurityGroups">
    <vt:lpwstr/>
  </property>
  <property fmtid="{D5CDD505-2E9C-101B-9397-08002B2CF9AE}" pid="6" name="MigrationWizIdPermissionLevels">
    <vt:lpwstr/>
  </property>
  <property fmtid="{D5CDD505-2E9C-101B-9397-08002B2CF9AE}" pid="7" name="MigrationWizIdPermissions">
    <vt:lpwstr/>
  </property>
  <property fmtid="{D5CDD505-2E9C-101B-9397-08002B2CF9AE}" pid="8" name="MigrationWizIdDocumentLibraryPermissions">
    <vt:lpwstr/>
  </property>
</Properties>
</file>